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us\Documents\Projekte\MAGA_Consulting\Vorlagen\"/>
    </mc:Choice>
  </mc:AlternateContent>
  <bookViews>
    <workbookView xWindow="0" yWindow="0" windowWidth="24000" windowHeight="9735"/>
  </bookViews>
  <sheets>
    <sheet name="Forecast" sheetId="1" r:id="rId1"/>
  </sheets>
  <externalReferences>
    <externalReference r:id="rId2"/>
  </externalReferences>
  <definedNames>
    <definedName name="_xlnm.Print_Area" localSheetId="0">Forecast!$A$1:$N$50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5" i="1"/>
  <c r="B49" i="1"/>
  <c r="B42" i="1"/>
  <c r="B16" i="1"/>
  <c r="C45" i="1"/>
  <c r="N8" i="1" l="1"/>
  <c r="N9" i="1"/>
  <c r="N11" i="1"/>
  <c r="N12" i="1"/>
  <c r="N13" i="1"/>
  <c r="N14" i="1"/>
  <c r="F15" i="1"/>
  <c r="N15" i="1" s="1"/>
  <c r="C16" i="1"/>
  <c r="D16" i="1"/>
  <c r="E16" i="1"/>
  <c r="G16" i="1"/>
  <c r="H16" i="1"/>
  <c r="I16" i="1"/>
  <c r="J16" i="1"/>
  <c r="K16" i="1"/>
  <c r="L16" i="1"/>
  <c r="M16" i="1"/>
  <c r="B18" i="1"/>
  <c r="C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K23" i="1"/>
  <c r="N23" i="1"/>
  <c r="N24" i="1"/>
  <c r="N25" i="1"/>
  <c r="J26" i="1"/>
  <c r="N26" i="1" s="1"/>
  <c r="K26" i="1"/>
  <c r="L26" i="1"/>
  <c r="M26" i="1"/>
  <c r="N27" i="1"/>
  <c r="N28" i="1"/>
  <c r="N29" i="1"/>
  <c r="N30" i="1"/>
  <c r="J31" i="1"/>
  <c r="N31" i="1" s="1"/>
  <c r="K31" i="1"/>
  <c r="L31" i="1"/>
  <c r="M31" i="1"/>
  <c r="N32" i="1"/>
  <c r="N33" i="1"/>
  <c r="N34" i="1"/>
  <c r="N35" i="1"/>
  <c r="N36" i="1"/>
  <c r="L37" i="1"/>
  <c r="N37" i="1"/>
  <c r="N38" i="1"/>
  <c r="N39" i="1"/>
  <c r="N40" i="1"/>
  <c r="F41" i="1"/>
  <c r="F42" i="1" s="1"/>
  <c r="C42" i="1"/>
  <c r="D42" i="1"/>
  <c r="E42" i="1"/>
  <c r="E45" i="1" s="1"/>
  <c r="G42" i="1"/>
  <c r="H42" i="1"/>
  <c r="I42" i="1"/>
  <c r="L18" i="1" l="1"/>
  <c r="L42" i="1" s="1"/>
  <c r="J18" i="1"/>
  <c r="N18" i="1" s="1"/>
  <c r="D45" i="1"/>
  <c r="N21" i="1"/>
  <c r="K18" i="1"/>
  <c r="K42" i="1" s="1"/>
  <c r="K45" i="1" s="1"/>
  <c r="B45" i="1"/>
  <c r="N41" i="1"/>
  <c r="F16" i="1"/>
  <c r="F45" i="1"/>
  <c r="N22" i="1"/>
  <c r="N20" i="1"/>
  <c r="G45" i="1"/>
  <c r="M18" i="1"/>
  <c r="M42" i="1" s="1"/>
  <c r="M45" i="1" s="1"/>
  <c r="I45" i="1"/>
  <c r="H45" i="1"/>
  <c r="C47" i="1"/>
  <c r="D5" i="1" s="1"/>
  <c r="D47" i="1" s="1"/>
  <c r="N16" i="1"/>
  <c r="N19" i="1"/>
  <c r="C6" i="1" l="1"/>
  <c r="J42" i="1"/>
  <c r="J45" i="1" s="1"/>
  <c r="C49" i="1"/>
  <c r="D6" i="1" s="1"/>
  <c r="D49" i="1"/>
  <c r="E6" i="1" s="1"/>
  <c r="E5" i="1"/>
  <c r="E47" i="1" s="1"/>
  <c r="L45" i="1"/>
  <c r="N42" i="1"/>
  <c r="N45" i="1" s="1"/>
  <c r="E49" i="1" l="1"/>
  <c r="F6" i="1" s="1"/>
  <c r="F5" i="1"/>
  <c r="F47" i="1" s="1"/>
  <c r="F49" i="1" l="1"/>
  <c r="G6" i="1" s="1"/>
  <c r="G5" i="1"/>
  <c r="G47" i="1" s="1"/>
  <c r="H5" i="1" l="1"/>
  <c r="G49" i="1"/>
  <c r="H6" i="1" l="1"/>
  <c r="H47" i="1"/>
  <c r="H49" i="1" l="1"/>
  <c r="I6" i="1" s="1"/>
  <c r="I5" i="1"/>
  <c r="I47" i="1" s="1"/>
  <c r="I49" i="1" l="1"/>
  <c r="J6" i="1" s="1"/>
  <c r="J5" i="1"/>
  <c r="J47" i="1" s="1"/>
  <c r="K5" i="1" l="1"/>
  <c r="K47" i="1" s="1"/>
  <c r="J49" i="1"/>
  <c r="K6" i="1" s="1"/>
  <c r="L5" i="1" l="1"/>
  <c r="L47" i="1" s="1"/>
  <c r="K49" i="1"/>
  <c r="L6" i="1" s="1"/>
  <c r="L49" i="1" l="1"/>
  <c r="M6" i="1" s="1"/>
  <c r="M5" i="1"/>
  <c r="M47" i="1" s="1"/>
  <c r="N47" i="1" l="1"/>
  <c r="N49" i="1" s="1"/>
  <c r="M49" i="1"/>
</calcChain>
</file>

<file path=xl/sharedStrings.xml><?xml version="1.0" encoding="utf-8"?>
<sst xmlns="http://schemas.openxmlformats.org/spreadsheetml/2006/main" count="70" uniqueCount="60">
  <si>
    <r>
      <t xml:space="preserve">Guthaben (+) / Fehlbetrag (-) bei der Bank </t>
    </r>
    <r>
      <rPr>
        <b/>
        <u/>
        <sz val="8"/>
        <rFont val="Arial"/>
        <family val="2"/>
      </rPr>
      <t>mit</t>
    </r>
    <r>
      <rPr>
        <b/>
        <sz val="8"/>
        <rFont val="Arial"/>
        <family val="2"/>
      </rPr>
      <t xml:space="preserve"> ÜZ-Rahmen</t>
    </r>
  </si>
  <si>
    <r>
      <t>Guthaben (+) /</t>
    </r>
    <r>
      <rPr>
        <b/>
        <sz val="8"/>
        <color indexed="10"/>
        <rFont val="Arial"/>
        <family val="2"/>
      </rPr>
      <t xml:space="preserve"> Fehlbetrag (-)</t>
    </r>
    <r>
      <rPr>
        <b/>
        <sz val="8"/>
        <rFont val="Arial"/>
        <family val="2"/>
      </rPr>
      <t xml:space="preserve"> bei der Bank </t>
    </r>
  </si>
  <si>
    <r>
      <t xml:space="preserve">Überschuss (+) / </t>
    </r>
    <r>
      <rPr>
        <b/>
        <sz val="8"/>
        <color indexed="10"/>
        <rFont val="Arial"/>
        <family val="2"/>
      </rPr>
      <t xml:space="preserve">Fehlbetrag (-) </t>
    </r>
    <r>
      <rPr>
        <b/>
        <sz val="8"/>
        <rFont val="Arial"/>
        <family val="2"/>
      </rPr>
      <t>des Monats</t>
    </r>
  </si>
  <si>
    <t>Summe Zahlungsausgänge =</t>
  </si>
  <si>
    <t>Sonstige Ausgänge</t>
  </si>
  <si>
    <t>Tilgung Kredite</t>
  </si>
  <si>
    <t>diverse Abbuchungen</t>
  </si>
  <si>
    <t>Spesen des Geldverkehrs (Überziehungsprovisionen etc.) + Haftung</t>
  </si>
  <si>
    <t>Tantiemen</t>
  </si>
  <si>
    <t>Versicherungen</t>
  </si>
  <si>
    <t>Telefon, Internet etc.</t>
  </si>
  <si>
    <t>Energie</t>
  </si>
  <si>
    <t>Miete- und Leasing</t>
  </si>
  <si>
    <t>Reisekosten (Kreditkartenabrechnungen)</t>
  </si>
  <si>
    <t>Lohnabgaben (LSt, DB, DZ, SV) &amp; USt, EUSt</t>
  </si>
  <si>
    <t>Löhne, Gehälter (ink. Diäten und Spesenersatz)</t>
  </si>
  <si>
    <t>Social Media</t>
  </si>
  <si>
    <t>Einkaufsabteilung</t>
  </si>
  <si>
    <t>Werbung</t>
  </si>
  <si>
    <t>Tilgung Lieferantenverbindlichkeiten</t>
  </si>
  <si>
    <t>Zahlungsausgänge</t>
  </si>
  <si>
    <t>Summe Zahlungseingänge =</t>
  </si>
  <si>
    <t>Sonstige Erlöse</t>
  </si>
  <si>
    <t>Zahlungseingänge</t>
  </si>
  <si>
    <t>(ÜZ-Rahmen)</t>
  </si>
  <si>
    <t>(Bankkonten, ohne ÜZ-Rahmen)</t>
  </si>
  <si>
    <t>Bestand an flüssigen Mitteln</t>
  </si>
  <si>
    <t>Plan-Wert</t>
  </si>
  <si>
    <t>Ist-Wert</t>
  </si>
  <si>
    <t>FORECAST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</si>
  <si>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</si>
  <si>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</si>
  <si>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</si>
  <si>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</si>
  <si>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</si>
  <si>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</si>
  <si>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</si>
  <si>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</si>
  <si>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</si>
  <si>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</si>
  <si>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</si>
  <si>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</si>
  <si>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Version 1 von 2016-11</t>
  </si>
  <si>
    <t>FINANZPLAN MUSTER</t>
  </si>
  <si>
    <t>Jänner JJJJ - Dezember JJJJ</t>
  </si>
  <si>
    <t>SUMME GJ JJJJ</t>
  </si>
  <si>
    <t>Umsätzerlöse Vertrieb 1</t>
  </si>
  <si>
    <t>Umsatzerlöse Vertrieb 2</t>
  </si>
  <si>
    <t>Spenden</t>
  </si>
  <si>
    <t>Zinsen</t>
  </si>
  <si>
    <t>Wertpapiere</t>
  </si>
  <si>
    <t xml:space="preserve">IT-Ausgaben </t>
  </si>
  <si>
    <t>Interim Manager / Beirat / CRO</t>
  </si>
  <si>
    <t>Neuveranlagung Wertpapiere</t>
  </si>
  <si>
    <t>Finanzamt (KESt, KöSt GmbH, ESt)</t>
  </si>
  <si>
    <t>Beratungskosten</t>
  </si>
  <si>
    <t>Investitionen</t>
  </si>
  <si>
    <t>Rückführung Kredit</t>
  </si>
  <si>
    <t>Zahlungsausgänge Förderungen</t>
  </si>
  <si>
    <t>Zahlungseingang Förderungen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</si>
</sst>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\ #,##0_ ;[Red]\-\ #,##0\ "/>
    <numFmt numFmtId="165" formatCode="#,##0_ ;[Red]\-#,##0\ "/>
    <numFmt numFmtId="166" formatCode="#,##0.00\ _D_M"/>
  </numFmts>
  <fonts count="12" x14ac:knownFonts="1">
    <font>
      <sz val="10"/>
      <name val="Arial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b/>
      <sz val="16"/>
      <name val="Arial Rounded MT Bold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0" fontId="2" fillId="0" borderId="4" xfId="0" applyFont="1" applyBorder="1" applyProtection="1">
      <protection locked="0"/>
    </xf>
    <xf numFmtId="0" fontId="4" fillId="0" borderId="0" xfId="0" applyFont="1" applyBorder="1"/>
    <xf numFmtId="165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/>
    <xf numFmtId="165" fontId="1" fillId="0" borderId="1" xfId="0" applyNumberFormat="1" applyFont="1" applyBorder="1"/>
    <xf numFmtId="165" fontId="1" fillId="0" borderId="6" xfId="0" applyNumberFormat="1" applyFont="1" applyBorder="1"/>
    <xf numFmtId="165" fontId="6" fillId="0" borderId="1" xfId="0" applyNumberFormat="1" applyFont="1" applyBorder="1" applyProtection="1">
      <protection locked="0"/>
    </xf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0" borderId="1" xfId="0" applyFill="1" applyBorder="1"/>
    <xf numFmtId="165" fontId="3" fillId="0" borderId="1" xfId="0" applyNumberFormat="1" applyFont="1" applyBorder="1"/>
    <xf numFmtId="165" fontId="3" fillId="0" borderId="6" xfId="0" applyNumberFormat="1" applyFont="1" applyBorder="1"/>
    <xf numFmtId="0" fontId="2" fillId="0" borderId="1" xfId="0" applyFont="1" applyBorder="1" applyProtection="1">
      <protection locked="0"/>
    </xf>
    <xf numFmtId="0" fontId="0" fillId="0" borderId="7" xfId="0" applyFill="1" applyBorder="1"/>
    <xf numFmtId="0" fontId="0" fillId="0" borderId="0" xfId="0" applyBorder="1" applyAlignment="1">
      <alignment vertical="top"/>
    </xf>
    <xf numFmtId="165" fontId="2" fillId="0" borderId="1" xfId="0" applyNumberFormat="1" applyFont="1" applyFill="1" applyBorder="1"/>
    <xf numFmtId="165" fontId="2" fillId="0" borderId="6" xfId="0" applyNumberFormat="1" applyFont="1" applyFill="1" applyBorder="1"/>
    <xf numFmtId="166" fontId="2" fillId="0" borderId="1" xfId="0" applyNumberFormat="1" applyFont="1" applyFill="1" applyBorder="1" applyAlignment="1" applyProtection="1">
      <alignment horizontal="left" indent="1"/>
      <protection locked="0"/>
    </xf>
    <xf numFmtId="166" fontId="2" fillId="0" borderId="1" xfId="0" applyNumberFormat="1" applyFont="1" applyBorder="1" applyAlignment="1" applyProtection="1">
      <alignment horizontal="left" indent="1"/>
      <protection locked="0"/>
    </xf>
    <xf numFmtId="166" fontId="2" fillId="0" borderId="1" xfId="0" applyNumberFormat="1" applyFont="1" applyFill="1" applyBorder="1" applyAlignment="1" applyProtection="1">
      <alignment horizontal="left" wrapText="1" indent="1"/>
      <protection locked="0"/>
    </xf>
    <xf numFmtId="165" fontId="2" fillId="0" borderId="8" xfId="0" applyNumberFormat="1" applyFont="1" applyFill="1" applyBorder="1"/>
    <xf numFmtId="165" fontId="3" fillId="0" borderId="1" xfId="0" applyNumberFormat="1" applyFont="1" applyBorder="1" applyAlignment="1">
      <alignment vertical="top" wrapText="1"/>
    </xf>
    <xf numFmtId="165" fontId="3" fillId="0" borderId="6" xfId="0" applyNumberFormat="1" applyFont="1" applyBorder="1" applyAlignment="1">
      <alignment vertical="top" wrapText="1"/>
    </xf>
    <xf numFmtId="166" fontId="6" fillId="0" borderId="1" xfId="0" applyNumberFormat="1" applyFont="1" applyBorder="1" applyProtection="1">
      <protection locked="0"/>
    </xf>
    <xf numFmtId="165" fontId="2" fillId="0" borderId="1" xfId="0" applyNumberFormat="1" applyFont="1" applyFill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>
      <alignment wrapText="1"/>
    </xf>
    <xf numFmtId="165" fontId="2" fillId="0" borderId="6" xfId="0" applyNumberFormat="1" applyFont="1" applyFill="1" applyBorder="1" applyAlignment="1">
      <alignment wrapText="1"/>
    </xf>
    <xf numFmtId="165" fontId="6" fillId="0" borderId="1" xfId="0" applyNumberFormat="1" applyFont="1" applyFill="1" applyBorder="1"/>
    <xf numFmtId="165" fontId="6" fillId="0" borderId="6" xfId="0" applyNumberFormat="1" applyFont="1" applyFill="1" applyBorder="1"/>
    <xf numFmtId="165" fontId="6" fillId="0" borderId="1" xfId="0" applyNumberFormat="1" applyFont="1" applyBorder="1"/>
    <xf numFmtId="165" fontId="6" fillId="0" borderId="6" xfId="0" applyNumberFormat="1" applyFont="1" applyBorder="1"/>
    <xf numFmtId="165" fontId="3" fillId="0" borderId="7" xfId="0" applyNumberFormat="1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2" borderId="0" xfId="0" quotePrefix="1" applyFont="1" applyFill="1" applyBorder="1" applyAlignment="1" applyProtection="1">
      <alignment horizontal="left" vertical="center" indent="1"/>
      <protection locked="0"/>
    </xf>
    <xf numFmtId="165" fontId="2" fillId="3" borderId="5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7" fontId="6" fillId="4" borderId="9" xfId="0" applyNumberFormat="1" applyFont="1" applyFill="1" applyBorder="1" applyAlignment="1">
      <alignment horizontal="centerContinuous"/>
    </xf>
    <xf numFmtId="165" fontId="2" fillId="5" borderId="5" xfId="0" applyNumberFormat="1" applyFont="1" applyFill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166" fontId="6" fillId="4" borderId="2" xfId="0" applyNumberFormat="1" applyFont="1" applyFill="1" applyBorder="1" applyAlignment="1" applyProtection="1">
      <alignment horizontal="right"/>
      <protection locked="0"/>
    </xf>
    <xf numFmtId="165" fontId="6" fillId="4" borderId="3" xfId="0" applyNumberFormat="1" applyFont="1" applyFill="1" applyBorder="1"/>
    <xf numFmtId="165" fontId="6" fillId="4" borderId="2" xfId="0" applyNumberFormat="1" applyFont="1" applyFill="1" applyBorder="1"/>
    <xf numFmtId="0" fontId="2" fillId="0" borderId="1" xfId="0" applyFont="1" applyFill="1" applyBorder="1" applyAlignment="1" applyProtection="1">
      <alignment horizontal="left" indent="1"/>
      <protection locked="0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REYWILLE\Liquidit&#228;tsvorschau%202015-2016-%202017%20-%20USA%20Wegfall%20der%20Soho-Garantie%20ab%20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Töchter Forecast"/>
      <sheetName val="Annahmen"/>
    </sheetNames>
    <sheetDataSet>
      <sheetData sheetId="0">
        <row r="45">
          <cell r="F45">
            <v>511612.93999999994</v>
          </cell>
        </row>
        <row r="92">
          <cell r="F92">
            <v>353274.32</v>
          </cell>
        </row>
      </sheetData>
      <sheetData sheetId="1">
        <row r="5">
          <cell r="B5">
            <v>2.5999999999999999E-2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66"/>
  <sheetViews>
    <sheetView tabSelected="1" zoomScaleNormal="100" workbookViewId="0">
      <selection activeCell="E60" sqref="E60"/>
    </sheetView>
  </sheetViews>
  <sheetFormatPr baseColWidth="10" defaultRowHeight="12.75" x14ac:dyDescent="0.2"/>
  <cols>
    <col min="1" max="1" width="57.140625" style="2" customWidth="1"/>
    <col min="2" max="2" width="10.42578125" style="1" customWidth="1"/>
    <col min="3" max="3" width="9.5703125" style="1" customWidth="1"/>
    <col min="4" max="4" width="10.28515625" style="1" customWidth="1"/>
    <col min="5" max="13" width="9.5703125" style="1" customWidth="1"/>
    <col min="14" max="14" width="17.7109375" style="1" customWidth="1"/>
    <col min="15" max="16384" width="11.42578125" style="1"/>
  </cols>
  <sheetData>
    <row r="1" spans="1:14" s="50" customFormat="1" ht="41.45" customHeight="1" thickBot="1" x14ac:dyDescent="0.3">
      <c r="A1" s="55" t="s">
        <v>43</v>
      </c>
      <c r="B1" s="51"/>
      <c r="C1" s="51"/>
      <c r="D1" s="54"/>
      <c r="E1" s="53"/>
      <c r="F1" s="51"/>
      <c r="G1" s="53" t="s">
        <v>29</v>
      </c>
      <c r="H1" s="51"/>
      <c r="I1" s="51"/>
      <c r="J1" s="51"/>
      <c r="K1" s="51"/>
      <c r="L1" s="51"/>
      <c r="M1" s="51"/>
      <c r="N1" s="52" t="s">
        <v>42</v>
      </c>
    </row>
    <row r="2" spans="1:14" s="49" customFormat="1" ht="15.75" customHeight="1" thickBot="1" x14ac:dyDescent="0.25">
      <c r="A2" s="67" t="s">
        <v>44</v>
      </c>
      <c r="B2" s="58" t="s">
        <v>30</v>
      </c>
      <c r="C2" s="58" t="s">
        <v>31</v>
      </c>
      <c r="D2" s="58" t="s">
        <v>32</v>
      </c>
      <c r="E2" s="58" t="s">
        <v>33</v>
      </c>
      <c r="F2" s="58" t="s">
        <v>34</v>
      </c>
      <c r="G2" s="58" t="s">
        <v>35</v>
      </c>
      <c r="H2" s="58" t="s">
        <v>36</v>
      </c>
      <c r="I2" s="58" t="s">
        <v>37</v>
      </c>
      <c r="J2" s="58" t="s">
        <v>38</v>
      </c>
      <c r="K2" s="58" t="s">
        <v>39</v>
      </c>
      <c r="L2" s="58" t="s">
        <v>40</v>
      </c>
      <c r="M2" s="58" t="s">
        <v>41</v>
      </c>
      <c r="N2" s="65" t="s">
        <v>45</v>
      </c>
    </row>
    <row r="3" spans="1:14" s="49" customFormat="1" ht="13.5" customHeight="1" thickBot="1" x14ac:dyDescent="0.25">
      <c r="A3" s="68"/>
      <c r="B3" s="56" t="s">
        <v>28</v>
      </c>
      <c r="C3" s="57" t="s">
        <v>28</v>
      </c>
      <c r="D3" s="57" t="s">
        <v>28</v>
      </c>
      <c r="E3" s="57" t="s">
        <v>28</v>
      </c>
      <c r="F3" s="57" t="s">
        <v>28</v>
      </c>
      <c r="G3" s="57" t="s">
        <v>28</v>
      </c>
      <c r="H3" s="57" t="s">
        <v>28</v>
      </c>
      <c r="I3" s="57" t="s">
        <v>28</v>
      </c>
      <c r="J3" s="59" t="s">
        <v>27</v>
      </c>
      <c r="K3" s="59" t="s">
        <v>27</v>
      </c>
      <c r="L3" s="59" t="s">
        <v>27</v>
      </c>
      <c r="M3" s="60" t="s">
        <v>27</v>
      </c>
      <c r="N3" s="66"/>
    </row>
    <row r="4" spans="1:14" x14ac:dyDescent="0.2">
      <c r="A4" s="36" t="s">
        <v>26</v>
      </c>
      <c r="B4" s="35"/>
      <c r="C4" s="34"/>
      <c r="D4" s="23"/>
      <c r="E4" s="24"/>
      <c r="F4" s="24"/>
      <c r="G4" s="24"/>
      <c r="H4" s="24"/>
      <c r="I4" s="24"/>
      <c r="J4" s="24"/>
      <c r="K4" s="24"/>
      <c r="L4" s="24"/>
      <c r="M4" s="48"/>
      <c r="N4" s="22"/>
    </row>
    <row r="5" spans="1:14" s="14" customFormat="1" x14ac:dyDescent="0.2">
      <c r="A5" s="31" t="s">
        <v>25</v>
      </c>
      <c r="B5" s="45">
        <v>333687.26700000011</v>
      </c>
      <c r="C5" s="47">
        <f>B47</f>
        <v>-610935.76168748352</v>
      </c>
      <c r="D5" s="47">
        <f t="shared" ref="C5:M5" si="0">C47</f>
        <v>-346150.1876874835</v>
      </c>
      <c r="E5" s="47">
        <f t="shared" si="0"/>
        <v>-287011.06768748385</v>
      </c>
      <c r="F5" s="47">
        <f t="shared" si="0"/>
        <v>-24961.517687483574</v>
      </c>
      <c r="G5" s="47">
        <f t="shared" si="0"/>
        <v>-109194.8976874837</v>
      </c>
      <c r="H5" s="47">
        <f t="shared" si="0"/>
        <v>-532843.8976874837</v>
      </c>
      <c r="I5" s="47">
        <f t="shared" si="0"/>
        <v>-584402.8976874837</v>
      </c>
      <c r="J5" s="47">
        <f t="shared" si="0"/>
        <v>-545385.7576874838</v>
      </c>
      <c r="K5" s="47">
        <f t="shared" si="0"/>
        <v>-536270.17142291425</v>
      </c>
      <c r="L5" s="47">
        <f t="shared" si="0"/>
        <v>-1130738.7688505114</v>
      </c>
      <c r="M5" s="46">
        <f t="shared" si="0"/>
        <v>-337241.66220115032</v>
      </c>
      <c r="N5" s="46"/>
    </row>
    <row r="6" spans="1:14" s="14" customFormat="1" x14ac:dyDescent="0.2">
      <c r="A6" s="30" t="s">
        <v>24</v>
      </c>
      <c r="B6" s="45">
        <v>1000000</v>
      </c>
      <c r="C6" s="45">
        <f>B49</f>
        <v>389064.23831251648</v>
      </c>
      <c r="D6" s="45">
        <f>C49</f>
        <v>320182.8123125165</v>
      </c>
      <c r="E6" s="45">
        <f>D49</f>
        <v>379321.93231251615</v>
      </c>
      <c r="F6" s="45">
        <f>E49</f>
        <v>641371.48231251643</v>
      </c>
      <c r="G6" s="45">
        <f>F49</f>
        <v>557138.1023125163</v>
      </c>
      <c r="H6" s="45">
        <f>H5+775333</f>
        <v>242489.1023125163</v>
      </c>
      <c r="I6" s="45">
        <f>H49</f>
        <v>190930.1023125163</v>
      </c>
      <c r="J6" s="45">
        <f>I49</f>
        <v>229947.2423125162</v>
      </c>
      <c r="K6" s="45">
        <f>J49</f>
        <v>395062.82857708575</v>
      </c>
      <c r="L6" s="45">
        <f>K49</f>
        <v>100594.23114948859</v>
      </c>
      <c r="M6" s="44">
        <f>L49</f>
        <v>894091.33779884968</v>
      </c>
      <c r="N6" s="44"/>
    </row>
    <row r="7" spans="1:14" x14ac:dyDescent="0.2">
      <c r="A7" s="36" t="s">
        <v>23</v>
      </c>
      <c r="B7" s="35"/>
      <c r="C7" s="34"/>
      <c r="D7" s="23"/>
      <c r="E7" s="24"/>
      <c r="F7" s="24"/>
      <c r="G7" s="24"/>
      <c r="H7" s="24"/>
      <c r="I7" s="24"/>
      <c r="J7" s="24"/>
      <c r="K7" s="24"/>
      <c r="L7" s="24"/>
      <c r="M7" s="23"/>
      <c r="N7" s="22"/>
    </row>
    <row r="8" spans="1:14" x14ac:dyDescent="0.2">
      <c r="A8" s="31" t="s">
        <v>46</v>
      </c>
      <c r="B8" s="43">
        <v>277402.67</v>
      </c>
      <c r="C8" s="42">
        <v>390583.32999999996</v>
      </c>
      <c r="D8" s="41">
        <v>365856</v>
      </c>
      <c r="E8" s="29">
        <v>425255</v>
      </c>
      <c r="F8" s="29">
        <v>513611</v>
      </c>
      <c r="G8" s="29">
        <v>446429</v>
      </c>
      <c r="H8" s="29">
        <v>466763</v>
      </c>
      <c r="I8" s="29">
        <v>466429.63999999996</v>
      </c>
      <c r="J8" s="29">
        <v>510000</v>
      </c>
      <c r="K8" s="29">
        <v>470000</v>
      </c>
      <c r="L8" s="29">
        <v>700000</v>
      </c>
      <c r="M8" s="28">
        <v>400000</v>
      </c>
      <c r="N8" s="41">
        <f>SUM(B8:M8)</f>
        <v>5432329.6400000006</v>
      </c>
    </row>
    <row r="9" spans="1:14" x14ac:dyDescent="0.2">
      <c r="A9" s="31" t="s">
        <v>47</v>
      </c>
      <c r="B9" s="43">
        <v>240283.02000000002</v>
      </c>
      <c r="C9" s="42">
        <v>119739.48999999996</v>
      </c>
      <c r="D9" s="41">
        <v>466155</v>
      </c>
      <c r="E9" s="29">
        <v>555586</v>
      </c>
      <c r="F9" s="29">
        <v>262570</v>
      </c>
      <c r="G9" s="29">
        <v>244339</v>
      </c>
      <c r="H9" s="29">
        <v>166002</v>
      </c>
      <c r="I9" s="29">
        <v>201917.66</v>
      </c>
      <c r="J9" s="29">
        <v>400000</v>
      </c>
      <c r="K9" s="29">
        <v>300000</v>
      </c>
      <c r="L9" s="29">
        <v>230000</v>
      </c>
      <c r="M9" s="28">
        <v>550000</v>
      </c>
      <c r="N9" s="41">
        <f>SUM(B9:M9)</f>
        <v>3736592.17</v>
      </c>
    </row>
    <row r="10" spans="1:14" x14ac:dyDescent="0.2">
      <c r="A10" s="31"/>
      <c r="B10" s="38"/>
      <c r="C10" s="39"/>
      <c r="D10" s="28"/>
      <c r="E10" s="29"/>
      <c r="F10" s="29"/>
      <c r="G10" s="29"/>
      <c r="H10" s="29"/>
      <c r="I10" s="29"/>
      <c r="J10" s="29"/>
      <c r="K10" s="29"/>
      <c r="L10" s="29"/>
      <c r="M10" s="28"/>
      <c r="N10" s="28"/>
    </row>
    <row r="11" spans="1:14" x14ac:dyDescent="0.2">
      <c r="A11" s="31" t="s">
        <v>48</v>
      </c>
      <c r="B11" s="38">
        <v>0</v>
      </c>
      <c r="C11" s="39">
        <v>0</v>
      </c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8">
        <v>0</v>
      </c>
      <c r="N11" s="28">
        <f>SUM(B11:M11)</f>
        <v>0</v>
      </c>
    </row>
    <row r="12" spans="1:14" x14ac:dyDescent="0.2">
      <c r="A12" s="31" t="s">
        <v>50</v>
      </c>
      <c r="B12" s="40">
        <v>0</v>
      </c>
      <c r="C12" s="37">
        <v>0</v>
      </c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8">
        <v>0</v>
      </c>
      <c r="N12" s="28">
        <f>SUM(B12:M12)</f>
        <v>0</v>
      </c>
    </row>
    <row r="13" spans="1:14" x14ac:dyDescent="0.2">
      <c r="A13" s="31" t="s">
        <v>49</v>
      </c>
      <c r="B13" s="38">
        <v>0</v>
      </c>
      <c r="C13" s="39">
        <v>0</v>
      </c>
      <c r="D13" s="28">
        <v>0</v>
      </c>
      <c r="E13" s="29">
        <v>0</v>
      </c>
      <c r="F13" s="29">
        <v>296000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8">
        <v>0</v>
      </c>
      <c r="N13" s="28">
        <f>SUM(B13:M13)</f>
        <v>296000</v>
      </c>
    </row>
    <row r="14" spans="1:14" ht="12" customHeight="1" x14ac:dyDescent="0.2">
      <c r="A14" s="31" t="s">
        <v>22</v>
      </c>
      <c r="B14" s="38">
        <v>2648.6000000000004</v>
      </c>
      <c r="C14" s="37">
        <v>219498.63999999998</v>
      </c>
      <c r="D14" s="28">
        <v>1457</v>
      </c>
      <c r="E14" s="29">
        <v>193477</v>
      </c>
      <c r="F14" s="29">
        <v>73459</v>
      </c>
      <c r="G14" s="29">
        <v>278208</v>
      </c>
      <c r="H14" s="29">
        <v>30492</v>
      </c>
      <c r="I14" s="29">
        <v>28807.759999999998</v>
      </c>
      <c r="J14" s="29">
        <v>0</v>
      </c>
      <c r="K14" s="29">
        <v>0</v>
      </c>
      <c r="L14" s="29">
        <v>0</v>
      </c>
      <c r="M14" s="28">
        <v>0</v>
      </c>
      <c r="N14" s="28">
        <f>SUM(B14:M14)</f>
        <v>828048</v>
      </c>
    </row>
    <row r="15" spans="1:14" ht="13.5" thickBot="1" x14ac:dyDescent="0.25">
      <c r="A15" s="30" t="s">
        <v>59</v>
      </c>
      <c r="B15" s="29">
        <v>448966.17000000004</v>
      </c>
      <c r="C15" s="29">
        <v>1375750.54</v>
      </c>
      <c r="D15" s="29">
        <v>718965.21999999986</v>
      </c>
      <c r="E15" s="29">
        <v>531270.91</v>
      </c>
      <c r="F15" s="29">
        <f>'[1]Cash Flow Töchter Forecast'!F45</f>
        <v>511612.93999999994</v>
      </c>
      <c r="G15" s="29">
        <v>648951</v>
      </c>
      <c r="H15" s="29">
        <v>393157</v>
      </c>
      <c r="I15" s="29">
        <v>698900.59000000008</v>
      </c>
      <c r="J15" s="29">
        <v>423611.11111111112</v>
      </c>
      <c r="K15" s="29">
        <v>268611.11111111112</v>
      </c>
      <c r="L15" s="29">
        <v>1386111.111111111</v>
      </c>
      <c r="M15" s="29">
        <v>1161111.111111111</v>
      </c>
      <c r="N15" s="28">
        <f>SUM(B15:M15)</f>
        <v>8567018.8144444432</v>
      </c>
    </row>
    <row r="16" spans="1:14" s="14" customFormat="1" ht="13.5" thickBot="1" x14ac:dyDescent="0.25">
      <c r="A16" s="61" t="s">
        <v>21</v>
      </c>
      <c r="B16" s="62">
        <f>SUM(B8:B15)</f>
        <v>969300.46</v>
      </c>
      <c r="C16" s="62">
        <f t="shared" ref="B16:N16" si="1">SUM(C8:C15)</f>
        <v>2105572</v>
      </c>
      <c r="D16" s="62">
        <f t="shared" si="1"/>
        <v>1552433.2199999997</v>
      </c>
      <c r="E16" s="62">
        <f t="shared" si="1"/>
        <v>1705588.9100000001</v>
      </c>
      <c r="F16" s="62">
        <f t="shared" si="1"/>
        <v>1657252.94</v>
      </c>
      <c r="G16" s="62">
        <f t="shared" si="1"/>
        <v>1617927</v>
      </c>
      <c r="H16" s="62">
        <f t="shared" si="1"/>
        <v>1056414</v>
      </c>
      <c r="I16" s="62">
        <f t="shared" si="1"/>
        <v>1396055.65</v>
      </c>
      <c r="J16" s="62">
        <f t="shared" si="1"/>
        <v>1333611.111111111</v>
      </c>
      <c r="K16" s="62">
        <f t="shared" si="1"/>
        <v>1038611.1111111111</v>
      </c>
      <c r="L16" s="62">
        <f t="shared" si="1"/>
        <v>2316111.111111111</v>
      </c>
      <c r="M16" s="62">
        <f t="shared" si="1"/>
        <v>2111111.111111111</v>
      </c>
      <c r="N16" s="63">
        <f t="shared" si="1"/>
        <v>18859988.624444444</v>
      </c>
    </row>
    <row r="17" spans="1:14" x14ac:dyDescent="0.2">
      <c r="A17" s="36" t="s">
        <v>20</v>
      </c>
      <c r="B17" s="35"/>
      <c r="C17" s="34"/>
      <c r="D17" s="23"/>
      <c r="E17" s="24"/>
      <c r="F17" s="24"/>
      <c r="G17" s="24"/>
      <c r="H17" s="24"/>
      <c r="I17" s="24"/>
      <c r="J17" s="24"/>
      <c r="K17" s="24"/>
      <c r="L17" s="24"/>
      <c r="M17" s="23"/>
      <c r="N17" s="28"/>
    </row>
    <row r="18" spans="1:14" x14ac:dyDescent="0.2">
      <c r="A18" s="31" t="s">
        <v>19</v>
      </c>
      <c r="B18" s="29">
        <f>760410.41-134138</f>
        <v>626272.41</v>
      </c>
      <c r="C18" s="29">
        <f>463401.15-239777</f>
        <v>223624.15000000002</v>
      </c>
      <c r="D18" s="29">
        <v>211499</v>
      </c>
      <c r="E18" s="29">
        <v>283542</v>
      </c>
      <c r="F18" s="29">
        <v>368045</v>
      </c>
      <c r="G18" s="29">
        <v>404964</v>
      </c>
      <c r="H18" s="29">
        <v>268861</v>
      </c>
      <c r="I18" s="29">
        <v>281859.49</v>
      </c>
      <c r="J18" s="29">
        <f>507753-J19-J21-J20-J29-J30-J31</f>
        <v>202733</v>
      </c>
      <c r="K18" s="29">
        <f>540520+10400-K19-K21-K20-K29-K30-K31</f>
        <v>250442.9833333334</v>
      </c>
      <c r="L18" s="29">
        <f>610520+10400-L19-L21-L20-L29-L30-L31</f>
        <v>330711.83333333337</v>
      </c>
      <c r="M18" s="28">
        <f>540520+10400-M19-M21-M20-M29-M30-M31</f>
        <v>267573.7333333334</v>
      </c>
      <c r="N18" s="28">
        <f t="shared" ref="N18:N41" si="2">SUM(B18:M18)</f>
        <v>3720128.6</v>
      </c>
    </row>
    <row r="19" spans="1:14" x14ac:dyDescent="0.2">
      <c r="A19" s="31" t="s">
        <v>18</v>
      </c>
      <c r="B19" s="29"/>
      <c r="C19" s="33"/>
      <c r="D19" s="29">
        <v>47559</v>
      </c>
      <c r="E19" s="29">
        <v>3610</v>
      </c>
      <c r="F19" s="29">
        <v>55463</v>
      </c>
      <c r="G19" s="29">
        <v>5922</v>
      </c>
      <c r="H19" s="29">
        <v>0</v>
      </c>
      <c r="I19" s="29">
        <v>12825.97</v>
      </c>
      <c r="J19" s="29">
        <f>5600*1.2+9000/3*1.2</f>
        <v>10320</v>
      </c>
      <c r="K19" s="29">
        <f>16230.75+7933*1.2+42400/3*1.2</f>
        <v>42710.35</v>
      </c>
      <c r="L19" s="29">
        <f>5961.9+7933*1.2+42400/3*1.2</f>
        <v>32441.5</v>
      </c>
      <c r="M19" s="28">
        <f>7933*1.2+42400/3*1.2</f>
        <v>26479.599999999999</v>
      </c>
      <c r="N19" s="28">
        <f t="shared" si="2"/>
        <v>237331.42</v>
      </c>
    </row>
    <row r="20" spans="1:14" x14ac:dyDescent="0.2">
      <c r="A20" s="31" t="s">
        <v>17</v>
      </c>
      <c r="B20" s="29">
        <v>134138.02868748343</v>
      </c>
      <c r="C20" s="33">
        <v>239776.80600000001</v>
      </c>
      <c r="D20" s="29">
        <v>165929</v>
      </c>
      <c r="E20" s="29">
        <v>186736</v>
      </c>
      <c r="F20" s="29">
        <v>86968</v>
      </c>
      <c r="G20" s="29">
        <v>96169</v>
      </c>
      <c r="H20" s="29">
        <v>88199</v>
      </c>
      <c r="I20" s="29">
        <v>133879.14000000001</v>
      </c>
      <c r="J20" s="29">
        <f>600000/3+50000</f>
        <v>250000</v>
      </c>
      <c r="K20" s="29">
        <f>645500/3</f>
        <v>215166.66666666666</v>
      </c>
      <c r="L20" s="29">
        <f>645500/3</f>
        <v>215166.66666666666</v>
      </c>
      <c r="M20" s="29">
        <f>645500/3</f>
        <v>215166.66666666666</v>
      </c>
      <c r="N20" s="28">
        <f t="shared" si="2"/>
        <v>2027294.9746874839</v>
      </c>
    </row>
    <row r="21" spans="1:14" x14ac:dyDescent="0.2">
      <c r="A21" s="31" t="s">
        <v>16</v>
      </c>
      <c r="B21" s="29"/>
      <c r="C21" s="33"/>
      <c r="D21" s="29">
        <v>28486</v>
      </c>
      <c r="E21" s="29">
        <v>1188</v>
      </c>
      <c r="F21" s="29">
        <v>19062</v>
      </c>
      <c r="G21" s="29">
        <v>17130</v>
      </c>
      <c r="H21" s="29">
        <v>3083</v>
      </c>
      <c r="I21" s="29">
        <v>34758</v>
      </c>
      <c r="J21" s="29">
        <f>22000/3*1.2</f>
        <v>8800</v>
      </c>
      <c r="K21" s="29">
        <f>19000/3*1.2</f>
        <v>7599.9999999999991</v>
      </c>
      <c r="L21" s="29">
        <f>19000/3*1.2</f>
        <v>7599.9999999999991</v>
      </c>
      <c r="M21" s="29">
        <f>19000/3*1.2</f>
        <v>7599.9999999999991</v>
      </c>
      <c r="N21" s="28">
        <f t="shared" si="2"/>
        <v>135307</v>
      </c>
    </row>
    <row r="22" spans="1:14" x14ac:dyDescent="0.2">
      <c r="A22" s="30" t="s">
        <v>52</v>
      </c>
      <c r="B22" s="29">
        <v>0</v>
      </c>
      <c r="C22" s="33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20115</v>
      </c>
      <c r="I22" s="29">
        <v>19350</v>
      </c>
      <c r="J22" s="29">
        <f>27280+7200+10000</f>
        <v>44480</v>
      </c>
      <c r="K22" s="29">
        <f>27280+7200+10000</f>
        <v>44480</v>
      </c>
      <c r="L22" s="29">
        <f>27280/2+7200/2+10000</f>
        <v>27240</v>
      </c>
      <c r="M22" s="29">
        <f>27280+7200+10000</f>
        <v>44480</v>
      </c>
      <c r="N22" s="28">
        <f t="shared" si="2"/>
        <v>200145</v>
      </c>
    </row>
    <row r="23" spans="1:14" x14ac:dyDescent="0.2">
      <c r="A23" s="31" t="s">
        <v>15</v>
      </c>
      <c r="B23" s="29">
        <v>263493.5</v>
      </c>
      <c r="C23" s="28">
        <v>258353</v>
      </c>
      <c r="D23" s="29">
        <v>205795</v>
      </c>
      <c r="E23" s="29">
        <v>214078</v>
      </c>
      <c r="F23" s="29">
        <v>456880</v>
      </c>
      <c r="G23" s="29">
        <v>213068</v>
      </c>
      <c r="H23" s="29">
        <v>205632</v>
      </c>
      <c r="I23" s="29">
        <v>212879.49999999997</v>
      </c>
      <c r="J23" s="29">
        <v>218400</v>
      </c>
      <c r="K23" s="29">
        <f>218400*2</f>
        <v>436800</v>
      </c>
      <c r="L23" s="29">
        <v>218400</v>
      </c>
      <c r="M23" s="29">
        <v>218400</v>
      </c>
      <c r="N23" s="28">
        <f t="shared" si="2"/>
        <v>3122179</v>
      </c>
    </row>
    <row r="24" spans="1:14" x14ac:dyDescent="0.2">
      <c r="A24" s="64" t="s">
        <v>14</v>
      </c>
      <c r="B24" s="29">
        <v>194879.78</v>
      </c>
      <c r="C24" s="28">
        <v>163027.12</v>
      </c>
      <c r="D24" s="28">
        <v>166280</v>
      </c>
      <c r="E24" s="29">
        <v>207727</v>
      </c>
      <c r="F24" s="29">
        <v>180157</v>
      </c>
      <c r="G24" s="29">
        <v>360222</v>
      </c>
      <c r="H24" s="29">
        <v>197176</v>
      </c>
      <c r="I24" s="29">
        <v>193587.26</v>
      </c>
      <c r="J24" s="29">
        <v>230000</v>
      </c>
      <c r="K24" s="29">
        <v>260000</v>
      </c>
      <c r="L24" s="29">
        <v>330000</v>
      </c>
      <c r="M24" s="28">
        <v>240000</v>
      </c>
      <c r="N24" s="28">
        <f t="shared" si="2"/>
        <v>2723056.16</v>
      </c>
    </row>
    <row r="25" spans="1:14" x14ac:dyDescent="0.2">
      <c r="A25" s="32" t="s">
        <v>13</v>
      </c>
      <c r="B25" s="29">
        <v>17354.21</v>
      </c>
      <c r="C25" s="29">
        <v>32811</v>
      </c>
      <c r="D25" s="29">
        <v>10181</v>
      </c>
      <c r="E25" s="29">
        <v>21321</v>
      </c>
      <c r="F25" s="29">
        <v>29311</v>
      </c>
      <c r="G25" s="29">
        <v>9641</v>
      </c>
      <c r="H25" s="29">
        <v>32089</v>
      </c>
      <c r="I25" s="29">
        <v>20572.53</v>
      </c>
      <c r="J25" s="29">
        <v>10000</v>
      </c>
      <c r="K25" s="29">
        <v>20000</v>
      </c>
      <c r="L25" s="29">
        <v>20000</v>
      </c>
      <c r="M25" s="29">
        <v>30000</v>
      </c>
      <c r="N25" s="28">
        <f t="shared" si="2"/>
        <v>253280.74</v>
      </c>
    </row>
    <row r="26" spans="1:14" x14ac:dyDescent="0.2">
      <c r="A26" s="30" t="s">
        <v>12</v>
      </c>
      <c r="B26" s="29">
        <v>84473.609999999986</v>
      </c>
      <c r="C26" s="29">
        <v>70098</v>
      </c>
      <c r="D26" s="29">
        <v>84618</v>
      </c>
      <c r="E26" s="29">
        <v>85851</v>
      </c>
      <c r="F26" s="29">
        <v>79446</v>
      </c>
      <c r="G26" s="29">
        <v>67825</v>
      </c>
      <c r="H26" s="29">
        <v>73833</v>
      </c>
      <c r="I26" s="29">
        <v>68509.010000000009</v>
      </c>
      <c r="J26" s="29">
        <f>83883.78-8000</f>
        <v>75883.78</v>
      </c>
      <c r="K26" s="29">
        <f>83883.78-8000</f>
        <v>75883.78</v>
      </c>
      <c r="L26" s="29">
        <f>83883.78-8000</f>
        <v>75883.78</v>
      </c>
      <c r="M26" s="29">
        <f>83883.78-8000</f>
        <v>75883.78</v>
      </c>
      <c r="N26" s="28">
        <f t="shared" si="2"/>
        <v>918188.74000000011</v>
      </c>
    </row>
    <row r="27" spans="1:14" x14ac:dyDescent="0.2">
      <c r="A27" s="30" t="s">
        <v>11</v>
      </c>
      <c r="B27" s="29">
        <v>5019.8</v>
      </c>
      <c r="C27" s="28">
        <v>15490</v>
      </c>
      <c r="D27" s="28">
        <v>10491</v>
      </c>
      <c r="E27" s="28">
        <v>999</v>
      </c>
      <c r="F27" s="28">
        <v>10748</v>
      </c>
      <c r="G27" s="28">
        <v>6775</v>
      </c>
      <c r="H27" s="28">
        <v>9281</v>
      </c>
      <c r="I27" s="29">
        <v>5506</v>
      </c>
      <c r="J27" s="29">
        <v>8000</v>
      </c>
      <c r="K27" s="29">
        <v>10000</v>
      </c>
      <c r="L27" s="29">
        <v>10000</v>
      </c>
      <c r="M27" s="29">
        <v>10000</v>
      </c>
      <c r="N27" s="28">
        <f t="shared" si="2"/>
        <v>102309.8</v>
      </c>
    </row>
    <row r="28" spans="1:14" x14ac:dyDescent="0.2">
      <c r="A28" s="64" t="s">
        <v>10</v>
      </c>
      <c r="B28" s="29">
        <v>3007.27</v>
      </c>
      <c r="C28" s="29">
        <v>4838</v>
      </c>
      <c r="D28" s="29">
        <v>1315</v>
      </c>
      <c r="E28" s="29">
        <v>5204</v>
      </c>
      <c r="F28" s="29">
        <v>954</v>
      </c>
      <c r="G28" s="29">
        <v>5278</v>
      </c>
      <c r="H28" s="29">
        <v>559</v>
      </c>
      <c r="I28" s="29">
        <v>5500.2099999999991</v>
      </c>
      <c r="J28" s="29">
        <v>3200</v>
      </c>
      <c r="K28" s="29">
        <v>3200</v>
      </c>
      <c r="L28" s="29">
        <v>3200</v>
      </c>
      <c r="M28" s="29">
        <v>3200</v>
      </c>
      <c r="N28" s="28">
        <f t="shared" si="2"/>
        <v>39455.479999999996</v>
      </c>
    </row>
    <row r="29" spans="1:14" x14ac:dyDescent="0.2">
      <c r="A29" s="32" t="s">
        <v>9</v>
      </c>
      <c r="B29" s="29">
        <v>54122.33</v>
      </c>
      <c r="C29" s="28">
        <v>1982</v>
      </c>
      <c r="D29" s="28">
        <v>1252</v>
      </c>
      <c r="E29" s="29">
        <v>1988</v>
      </c>
      <c r="F29" s="29">
        <v>2558</v>
      </c>
      <c r="G29" s="29">
        <v>8436</v>
      </c>
      <c r="H29" s="29">
        <v>2143</v>
      </c>
      <c r="I29" s="29">
        <v>9066.93</v>
      </c>
      <c r="J29" s="29">
        <v>3500</v>
      </c>
      <c r="K29" s="29">
        <v>2600</v>
      </c>
      <c r="L29" s="29">
        <v>2600</v>
      </c>
      <c r="M29" s="28">
        <v>1700</v>
      </c>
      <c r="N29" s="28">
        <f t="shared" si="2"/>
        <v>91948.260000000009</v>
      </c>
    </row>
    <row r="30" spans="1:14" x14ac:dyDescent="0.2">
      <c r="A30" s="30" t="s">
        <v>8</v>
      </c>
      <c r="B30" s="29">
        <v>56773.95</v>
      </c>
      <c r="C30" s="28">
        <v>0</v>
      </c>
      <c r="D30" s="28">
        <v>12783</v>
      </c>
      <c r="E30" s="29">
        <v>0</v>
      </c>
      <c r="F30" s="29">
        <v>0</v>
      </c>
      <c r="G30" s="29">
        <v>0</v>
      </c>
      <c r="H30" s="29">
        <v>0</v>
      </c>
      <c r="I30" s="29">
        <v>41567.730000000003</v>
      </c>
      <c r="J30" s="29">
        <v>0</v>
      </c>
      <c r="K30" s="29">
        <v>0</v>
      </c>
      <c r="L30" s="29">
        <v>0</v>
      </c>
      <c r="M30" s="28">
        <v>0</v>
      </c>
      <c r="N30" s="28">
        <f t="shared" si="2"/>
        <v>111124.68</v>
      </c>
    </row>
    <row r="31" spans="1:14" x14ac:dyDescent="0.2">
      <c r="A31" s="30" t="s">
        <v>51</v>
      </c>
      <c r="B31" s="29">
        <v>65543.350000000006</v>
      </c>
      <c r="C31" s="28">
        <v>24925</v>
      </c>
      <c r="D31" s="28">
        <v>55182</v>
      </c>
      <c r="E31" s="29">
        <v>49693</v>
      </c>
      <c r="F31" s="29">
        <v>71826</v>
      </c>
      <c r="G31" s="29">
        <v>38409</v>
      </c>
      <c r="H31" s="29">
        <v>49977</v>
      </c>
      <c r="I31" s="29">
        <v>25860.560000000001</v>
      </c>
      <c r="J31" s="29">
        <f>(15000+12000)*1.2</f>
        <v>32400</v>
      </c>
      <c r="K31" s="29">
        <f>(15000+12000)*1.2</f>
        <v>32400</v>
      </c>
      <c r="L31" s="29">
        <f>(15000+12000)*1.2</f>
        <v>32400</v>
      </c>
      <c r="M31" s="29">
        <f>(15000+12000)*1.2</f>
        <v>32400</v>
      </c>
      <c r="N31" s="28">
        <f t="shared" si="2"/>
        <v>511015.91</v>
      </c>
    </row>
    <row r="32" spans="1:14" x14ac:dyDescent="0.2">
      <c r="A32" s="32" t="s">
        <v>7</v>
      </c>
      <c r="B32" s="29">
        <v>2763.61</v>
      </c>
      <c r="C32" s="29">
        <v>21708</v>
      </c>
      <c r="D32" s="29">
        <v>11977</v>
      </c>
      <c r="E32" s="29">
        <v>3094</v>
      </c>
      <c r="F32" s="29">
        <v>23627</v>
      </c>
      <c r="G32" s="29">
        <v>16669</v>
      </c>
      <c r="H32" s="29">
        <v>3396</v>
      </c>
      <c r="I32" s="29">
        <v>31884.21</v>
      </c>
      <c r="J32" s="29">
        <v>8000</v>
      </c>
      <c r="K32" s="29">
        <v>8000</v>
      </c>
      <c r="L32" s="29">
        <v>12000</v>
      </c>
      <c r="M32" s="28">
        <v>2500</v>
      </c>
      <c r="N32" s="28">
        <f t="shared" si="2"/>
        <v>145618.82</v>
      </c>
    </row>
    <row r="33" spans="1:14" x14ac:dyDescent="0.2">
      <c r="A33" s="30" t="s">
        <v>55</v>
      </c>
      <c r="B33" s="29">
        <v>1500</v>
      </c>
      <c r="C33" s="28">
        <v>852</v>
      </c>
      <c r="D33" s="28">
        <v>0</v>
      </c>
      <c r="E33" s="29">
        <v>11846</v>
      </c>
      <c r="F33" s="29">
        <v>3167</v>
      </c>
      <c r="G33" s="29">
        <v>364</v>
      </c>
      <c r="H33" s="29">
        <v>-5360</v>
      </c>
      <c r="I33" s="29">
        <v>-3266.34</v>
      </c>
      <c r="J33" s="29">
        <v>0</v>
      </c>
      <c r="K33" s="29">
        <v>0</v>
      </c>
      <c r="L33" s="29">
        <v>0</v>
      </c>
      <c r="M33" s="28">
        <v>0</v>
      </c>
      <c r="N33" s="28">
        <f t="shared" si="2"/>
        <v>9102.66</v>
      </c>
    </row>
    <row r="34" spans="1:14" x14ac:dyDescent="0.2">
      <c r="A34" s="30" t="s">
        <v>54</v>
      </c>
      <c r="B34" s="29">
        <v>27941</v>
      </c>
      <c r="C34" s="28">
        <v>0</v>
      </c>
      <c r="D34" s="28">
        <v>20427</v>
      </c>
      <c r="E34" s="29">
        <v>54703</v>
      </c>
      <c r="F34" s="29">
        <v>0</v>
      </c>
      <c r="G34" s="29">
        <v>0</v>
      </c>
      <c r="H34" s="29">
        <v>39656</v>
      </c>
      <c r="I34" s="29">
        <v>18571</v>
      </c>
      <c r="J34" s="29">
        <v>0</v>
      </c>
      <c r="K34" s="29">
        <v>39664</v>
      </c>
      <c r="L34" s="29">
        <v>0</v>
      </c>
      <c r="M34" s="28">
        <v>0</v>
      </c>
      <c r="N34" s="28">
        <f t="shared" si="2"/>
        <v>200962</v>
      </c>
    </row>
    <row r="35" spans="1:14" x14ac:dyDescent="0.2">
      <c r="A35" s="30" t="s">
        <v>6</v>
      </c>
      <c r="B35" s="29">
        <v>0</v>
      </c>
      <c r="C35" s="28">
        <v>0</v>
      </c>
      <c r="D35" s="28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8">
        <v>0</v>
      </c>
      <c r="N35" s="28">
        <f t="shared" si="2"/>
        <v>0</v>
      </c>
    </row>
    <row r="36" spans="1:14" x14ac:dyDescent="0.2">
      <c r="A36" s="30" t="s">
        <v>5</v>
      </c>
      <c r="B36" s="29">
        <v>0</v>
      </c>
      <c r="C36" s="28">
        <v>0</v>
      </c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8">
        <v>0</v>
      </c>
      <c r="N36" s="28">
        <f t="shared" si="2"/>
        <v>0</v>
      </c>
    </row>
    <row r="37" spans="1:14" x14ac:dyDescent="0.2">
      <c r="A37" s="30" t="s">
        <v>56</v>
      </c>
      <c r="B37" s="29">
        <v>0</v>
      </c>
      <c r="C37" s="28">
        <v>0</v>
      </c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80000</v>
      </c>
      <c r="L37" s="29">
        <f>120000</f>
        <v>120000</v>
      </c>
      <c r="M37" s="28">
        <v>0</v>
      </c>
      <c r="N37" s="28">
        <f t="shared" si="2"/>
        <v>200000</v>
      </c>
    </row>
    <row r="38" spans="1:14" x14ac:dyDescent="0.2">
      <c r="A38" s="30" t="s">
        <v>4</v>
      </c>
      <c r="B38" s="29">
        <v>0</v>
      </c>
      <c r="C38" s="28">
        <v>0</v>
      </c>
      <c r="D38" s="28">
        <v>5353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8">
        <v>0</v>
      </c>
      <c r="N38" s="28">
        <f t="shared" si="2"/>
        <v>5353</v>
      </c>
    </row>
    <row r="39" spans="1:14" x14ac:dyDescent="0.2">
      <c r="A39" s="30" t="s">
        <v>53</v>
      </c>
      <c r="B39" s="29">
        <v>0</v>
      </c>
      <c r="C39" s="28">
        <v>200035</v>
      </c>
      <c r="D39" s="28">
        <v>0</v>
      </c>
      <c r="E39" s="29">
        <v>0</v>
      </c>
      <c r="F39" s="29">
        <v>0</v>
      </c>
      <c r="G39" s="29">
        <v>180040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8">
        <v>0</v>
      </c>
      <c r="N39" s="28">
        <f t="shared" si="2"/>
        <v>380075</v>
      </c>
    </row>
    <row r="40" spans="1:14" x14ac:dyDescent="0.2">
      <c r="A40" s="30" t="s">
        <v>57</v>
      </c>
      <c r="B40" s="29">
        <v>0</v>
      </c>
      <c r="C40" s="28">
        <v>0</v>
      </c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8">
        <v>0</v>
      </c>
      <c r="N40" s="28">
        <f t="shared" si="2"/>
        <v>0</v>
      </c>
    </row>
    <row r="41" spans="1:14" s="27" customFormat="1" ht="13.5" thickBot="1" x14ac:dyDescent="0.25">
      <c r="A41" s="32" t="s">
        <v>58</v>
      </c>
      <c r="B41" s="29">
        <v>376640.64</v>
      </c>
      <c r="C41" s="29">
        <v>583266.35</v>
      </c>
      <c r="D41" s="29">
        <v>454167.10000000003</v>
      </c>
      <c r="E41" s="29">
        <v>311959.36</v>
      </c>
      <c r="F41" s="29">
        <f>'[1]Cash Flow Töchter Forecast'!F92</f>
        <v>353274.32</v>
      </c>
      <c r="G41" s="29">
        <v>610664</v>
      </c>
      <c r="H41" s="29">
        <v>119333</v>
      </c>
      <c r="I41" s="29">
        <v>244127.31</v>
      </c>
      <c r="J41" s="29">
        <v>218778.74484654146</v>
      </c>
      <c r="K41" s="29">
        <v>104131.92853870821</v>
      </c>
      <c r="L41" s="29">
        <v>84970.224461749895</v>
      </c>
      <c r="M41" s="28">
        <v>0</v>
      </c>
      <c r="N41" s="28">
        <f t="shared" si="2"/>
        <v>3461312.9778469997</v>
      </c>
    </row>
    <row r="42" spans="1:14" s="14" customFormat="1" ht="13.5" thickBot="1" x14ac:dyDescent="0.25">
      <c r="A42" s="61" t="s">
        <v>3</v>
      </c>
      <c r="B42" s="62">
        <f>SUM(B18:B41)</f>
        <v>1913923.4886874836</v>
      </c>
      <c r="C42" s="63">
        <f t="shared" ref="B42:N42" si="3">SUM(C18:C41)</f>
        <v>1840786.426</v>
      </c>
      <c r="D42" s="63">
        <f t="shared" si="3"/>
        <v>1493294.1</v>
      </c>
      <c r="E42" s="62">
        <f t="shared" si="3"/>
        <v>1443539.3599999999</v>
      </c>
      <c r="F42" s="62">
        <f t="shared" si="3"/>
        <v>1741486.32</v>
      </c>
      <c r="G42" s="62">
        <f t="shared" si="3"/>
        <v>2041576</v>
      </c>
      <c r="H42" s="62">
        <f t="shared" si="3"/>
        <v>1107973</v>
      </c>
      <c r="I42" s="62">
        <f t="shared" si="3"/>
        <v>1357038.51</v>
      </c>
      <c r="J42" s="62">
        <f t="shared" si="3"/>
        <v>1324495.5248465415</v>
      </c>
      <c r="K42" s="62">
        <f t="shared" si="3"/>
        <v>1633079.7085387083</v>
      </c>
      <c r="L42" s="62">
        <f t="shared" si="3"/>
        <v>1522614.0044617499</v>
      </c>
      <c r="M42" s="63">
        <f t="shared" si="3"/>
        <v>1175383.78</v>
      </c>
      <c r="N42" s="63">
        <f t="shared" si="3"/>
        <v>18595190.222534485</v>
      </c>
    </row>
    <row r="43" spans="1:14" ht="7.5" customHeight="1" x14ac:dyDescent="0.2">
      <c r="A43" s="25"/>
      <c r="B43" s="24"/>
      <c r="C43" s="23"/>
      <c r="D43" s="23"/>
      <c r="E43" s="24"/>
      <c r="F43" s="24"/>
      <c r="G43" s="24"/>
      <c r="H43" s="24"/>
      <c r="I43" s="24"/>
      <c r="J43" s="24"/>
      <c r="K43" s="24"/>
      <c r="L43" s="24"/>
      <c r="M43" s="23"/>
      <c r="N43" s="26"/>
    </row>
    <row r="44" spans="1:14" ht="3.75" customHeight="1" x14ac:dyDescent="0.2">
      <c r="A44" s="25"/>
      <c r="B44" s="24"/>
      <c r="C44" s="23"/>
      <c r="D44" s="23"/>
      <c r="E44" s="24"/>
      <c r="F44" s="24"/>
      <c r="G44" s="24"/>
      <c r="H44" s="24"/>
      <c r="I44" s="24"/>
      <c r="J44" s="24"/>
      <c r="K44" s="24"/>
      <c r="L44" s="24"/>
      <c r="M44" s="23"/>
      <c r="N44" s="22"/>
    </row>
    <row r="45" spans="1:14" s="14" customFormat="1" x14ac:dyDescent="0.2">
      <c r="A45" s="19" t="s">
        <v>2</v>
      </c>
      <c r="B45" s="21">
        <f t="shared" ref="B45:N45" si="4">B16-B42</f>
        <v>-944623.02868748363</v>
      </c>
      <c r="C45" s="20">
        <f>C16-C42</f>
        <v>264785.57400000002</v>
      </c>
      <c r="D45" s="20">
        <f t="shared" si="4"/>
        <v>59139.119999999646</v>
      </c>
      <c r="E45" s="20">
        <f t="shared" si="4"/>
        <v>262049.55000000028</v>
      </c>
      <c r="F45" s="20">
        <f t="shared" si="4"/>
        <v>-84233.380000000121</v>
      </c>
      <c r="G45" s="20">
        <f t="shared" si="4"/>
        <v>-423649</v>
      </c>
      <c r="H45" s="20">
        <f t="shared" si="4"/>
        <v>-51559</v>
      </c>
      <c r="I45" s="20">
        <f t="shared" si="4"/>
        <v>39017.139999999898</v>
      </c>
      <c r="J45" s="20">
        <f t="shared" si="4"/>
        <v>9115.5862645695452</v>
      </c>
      <c r="K45" s="20">
        <f t="shared" si="4"/>
        <v>-594468.59742759715</v>
      </c>
      <c r="L45" s="20">
        <f t="shared" si="4"/>
        <v>793497.10664936109</v>
      </c>
      <c r="M45" s="20">
        <f t="shared" si="4"/>
        <v>935727.33111111098</v>
      </c>
      <c r="N45" s="20">
        <f t="shared" si="4"/>
        <v>264798.40190995857</v>
      </c>
    </row>
    <row r="46" spans="1:14" s="14" customFormat="1" ht="4.5" customHeight="1" thickBot="1" x14ac:dyDescent="0.25">
      <c r="A46" s="19"/>
      <c r="B46" s="18"/>
      <c r="C46" s="17"/>
      <c r="D46" s="17"/>
      <c r="E46" s="18"/>
      <c r="F46" s="18"/>
      <c r="G46" s="18"/>
      <c r="H46" s="18"/>
      <c r="I46" s="18"/>
      <c r="J46" s="18"/>
      <c r="K46" s="18"/>
      <c r="L46" s="18"/>
      <c r="M46" s="17"/>
      <c r="N46" s="16"/>
    </row>
    <row r="47" spans="1:14" s="5" customFormat="1" ht="21" customHeight="1" thickBot="1" x14ac:dyDescent="0.25">
      <c r="A47" s="15" t="s">
        <v>1</v>
      </c>
      <c r="B47" s="8">
        <f>B16-B42+B5</f>
        <v>-610935.76168748352</v>
      </c>
      <c r="C47" s="7">
        <f t="shared" ref="B47:M47" si="5">C16-C42+C5</f>
        <v>-346150.1876874835</v>
      </c>
      <c r="D47" s="7">
        <f t="shared" si="5"/>
        <v>-287011.06768748385</v>
      </c>
      <c r="E47" s="7">
        <f t="shared" si="5"/>
        <v>-24961.517687483574</v>
      </c>
      <c r="F47" s="7">
        <f t="shared" si="5"/>
        <v>-109194.8976874837</v>
      </c>
      <c r="G47" s="7">
        <f t="shared" si="5"/>
        <v>-532843.8976874837</v>
      </c>
      <c r="H47" s="7">
        <f t="shared" si="5"/>
        <v>-584402.8976874837</v>
      </c>
      <c r="I47" s="7">
        <f t="shared" si="5"/>
        <v>-545385.7576874838</v>
      </c>
      <c r="J47" s="7">
        <f t="shared" si="5"/>
        <v>-536270.17142291425</v>
      </c>
      <c r="K47" s="7">
        <f t="shared" si="5"/>
        <v>-1130738.7688505114</v>
      </c>
      <c r="L47" s="7">
        <f t="shared" si="5"/>
        <v>-337241.66220115032</v>
      </c>
      <c r="M47" s="7">
        <f t="shared" si="5"/>
        <v>598485.66890996066</v>
      </c>
      <c r="N47" s="7">
        <f>M47</f>
        <v>598485.66890996066</v>
      </c>
    </row>
    <row r="48" spans="1:14" ht="6.75" customHeight="1" thickBot="1" x14ac:dyDescent="0.25">
      <c r="A48" s="13"/>
      <c r="B48" s="12"/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1"/>
      <c r="N48" s="10"/>
    </row>
    <row r="49" spans="1:14" s="5" customFormat="1" ht="21" customHeight="1" thickBot="1" x14ac:dyDescent="0.25">
      <c r="A49" s="9" t="s">
        <v>0</v>
      </c>
      <c r="B49" s="8">
        <f>B6+B47</f>
        <v>389064.23831251648</v>
      </c>
      <c r="C49" s="8">
        <f>666333+C47</f>
        <v>320182.8123125165</v>
      </c>
      <c r="D49" s="8">
        <f>666333+D47</f>
        <v>379321.93231251615</v>
      </c>
      <c r="E49" s="8">
        <f>666333+E47</f>
        <v>641371.48231251643</v>
      </c>
      <c r="F49" s="8">
        <f>666333+F47</f>
        <v>557138.1023125163</v>
      </c>
      <c r="G49" s="8">
        <f>666333+99000+10000+G47</f>
        <v>242489.1023125163</v>
      </c>
      <c r="H49" s="8">
        <f>666333+99000+10000+H47</f>
        <v>190930.1023125163</v>
      </c>
      <c r="I49" s="8">
        <f>666333+99000+10000+I47</f>
        <v>229947.2423125162</v>
      </c>
      <c r="J49" s="8">
        <f>600000+300000+31333+J47</f>
        <v>395062.82857708575</v>
      </c>
      <c r="K49" s="8">
        <f>600000+600000+31333+K47</f>
        <v>100594.23114948859</v>
      </c>
      <c r="L49" s="8">
        <f>600000+600000+31333+L47</f>
        <v>894091.33779884968</v>
      </c>
      <c r="M49" s="8">
        <f>600000+600000+31333+M47</f>
        <v>1829818.6689099607</v>
      </c>
      <c r="N49" s="7">
        <f>600000+600000+31333+N47</f>
        <v>1829818.6689099607</v>
      </c>
    </row>
    <row r="50" spans="1:14" x14ac:dyDescent="0.2">
      <c r="A50" s="3"/>
      <c r="B50" s="4"/>
      <c r="C50" s="4"/>
      <c r="J50" s="6"/>
    </row>
    <row r="51" spans="1:14" x14ac:dyDescent="0.2">
      <c r="A51" s="3"/>
    </row>
    <row r="52" spans="1:14" x14ac:dyDescent="0.2">
      <c r="A52" s="3"/>
      <c r="B52" s="69"/>
    </row>
    <row r="53" spans="1:14" x14ac:dyDescent="0.2">
      <c r="A53" s="3"/>
    </row>
    <row r="54" spans="1:14" x14ac:dyDescent="0.2">
      <c r="A54" s="3"/>
    </row>
    <row r="55" spans="1:14" x14ac:dyDescent="0.2">
      <c r="A55" s="3"/>
    </row>
    <row r="56" spans="1:14" x14ac:dyDescent="0.2">
      <c r="A56" s="3"/>
    </row>
    <row r="57" spans="1:14" x14ac:dyDescent="0.2">
      <c r="A57" s="3"/>
    </row>
    <row r="58" spans="1:14" x14ac:dyDescent="0.2">
      <c r="A58" s="3"/>
    </row>
    <row r="59" spans="1:14" x14ac:dyDescent="0.2">
      <c r="A59" s="3"/>
    </row>
    <row r="60" spans="1:14" x14ac:dyDescent="0.2">
      <c r="A60" s="3"/>
    </row>
    <row r="61" spans="1:14" x14ac:dyDescent="0.2">
      <c r="A61" s="3"/>
    </row>
    <row r="62" spans="1:14" x14ac:dyDescent="0.2">
      <c r="A62" s="3"/>
    </row>
    <row r="63" spans="1:14" x14ac:dyDescent="0.2">
      <c r="A63" s="3"/>
    </row>
    <row r="64" spans="1:14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  <row r="217" spans="1:1" x14ac:dyDescent="0.2">
      <c r="A217" s="3"/>
    </row>
    <row r="218" spans="1:1" x14ac:dyDescent="0.2">
      <c r="A218" s="3"/>
    </row>
    <row r="219" spans="1:1" x14ac:dyDescent="0.2">
      <c r="A219" s="3"/>
    </row>
    <row r="220" spans="1:1" x14ac:dyDescent="0.2">
      <c r="A220" s="3"/>
    </row>
    <row r="221" spans="1:1" x14ac:dyDescent="0.2">
      <c r="A221" s="3"/>
    </row>
    <row r="222" spans="1:1" x14ac:dyDescent="0.2">
      <c r="A222" s="3"/>
    </row>
    <row r="223" spans="1:1" x14ac:dyDescent="0.2">
      <c r="A223" s="3"/>
    </row>
    <row r="224" spans="1:1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</sheetData>
  <mergeCells count="2">
    <mergeCell ref="N2:N3"/>
    <mergeCell ref="A2:A3"/>
  </mergeCells>
  <printOptions horizontalCentered="1" gridLines="1"/>
  <pageMargins left="0.55118110236220474" right="0.39370078740157483" top="2.3228346456692917" bottom="1.1811023622047245" header="0.82677165354330717" footer="0.70866141732283472"/>
  <pageSetup paperSize="8" scale="81" fitToWidth="0" fitToHeight="0" orientation="landscape" cellComments="asDisplayed" r:id="rId1"/>
  <headerFooter alignWithMargins="0">
    <oddHeader>&amp;L
&amp;C&amp;G</oddHeader>
    <oddFooter>&amp;R&amp;D/MOF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Forecast</vt:lpstr>
      <vt:lpstr>Forecast!Druckbereich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Markus</cp:lastModifiedBy>
  <dcterms:created xsi:type="dcterms:W3CDTF">2016-11-28T18:35:30Z</dcterms:created>
  <dcterms:modified xsi:type="dcterms:W3CDTF">2016-11-28T19:19:41Z</dcterms:modified>
</cp:coreProperties>
</file>